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tchworth.sharepoint.com/Shared Documents/Committees/Finance Committee/"/>
    </mc:Choice>
  </mc:AlternateContent>
  <xr:revisionPtr revIDLastSave="2" documentId="8_{BEA2D2E3-484C-48DF-890B-983EE4929F21}" xr6:coauthVersionLast="40" xr6:coauthVersionMax="40" xr10:uidLastSave="{9FA5DFD4-E367-467B-957A-1C5ABAAD5A06}"/>
  <bookViews>
    <workbookView xWindow="0" yWindow="0" windowWidth="23040" windowHeight="8412" xr2:uid="{0F122B84-DF5D-43E7-B12B-366EB8335A35}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" l="1"/>
  <c r="E49" i="1"/>
  <c r="E48" i="1"/>
  <c r="B47" i="1"/>
  <c r="E46" i="1"/>
  <c r="G46" i="1" s="1"/>
  <c r="E45" i="1"/>
  <c r="D43" i="1"/>
  <c r="F43" i="1" s="1"/>
  <c r="D42" i="1"/>
  <c r="I41" i="1"/>
  <c r="D41" i="1"/>
  <c r="I40" i="1"/>
  <c r="J44" i="1" s="1"/>
  <c r="D40" i="1"/>
  <c r="F40" i="1" s="1"/>
  <c r="G44" i="1" s="1"/>
  <c r="E39" i="1"/>
  <c r="E38" i="1"/>
  <c r="D36" i="1"/>
  <c r="F36" i="1" s="1"/>
  <c r="I35" i="1"/>
  <c r="D35" i="1"/>
  <c r="F35" i="1" s="1"/>
  <c r="D34" i="1"/>
  <c r="F34" i="1" s="1"/>
  <c r="F33" i="1"/>
  <c r="D33" i="1"/>
  <c r="D32" i="1"/>
  <c r="F32" i="1" s="1"/>
  <c r="I31" i="1"/>
  <c r="I26" i="1"/>
  <c r="D26" i="1"/>
  <c r="F26" i="1" s="1"/>
  <c r="I25" i="1"/>
  <c r="K47" i="1" s="1"/>
  <c r="F25" i="1"/>
  <c r="D25" i="1"/>
  <c r="E24" i="1"/>
  <c r="E22" i="1"/>
  <c r="G22" i="1" s="1"/>
  <c r="E21" i="1"/>
  <c r="B18" i="1"/>
  <c r="I17" i="1"/>
  <c r="G17" i="1"/>
  <c r="E17" i="1"/>
  <c r="G14" i="1"/>
  <c r="E14" i="1" s="1"/>
  <c r="E12" i="1"/>
  <c r="G12" i="1" s="1"/>
  <c r="E9" i="1"/>
  <c r="I5" i="1"/>
  <c r="E3" i="1"/>
  <c r="E5" i="1" s="1"/>
  <c r="B3" i="1"/>
  <c r="B5" i="1" s="1"/>
  <c r="I51" i="1" l="1"/>
  <c r="B51" i="1"/>
  <c r="J37" i="1"/>
  <c r="E27" i="1"/>
  <c r="G27" i="1"/>
  <c r="G18" i="1"/>
  <c r="E18" i="1"/>
  <c r="G37" i="1"/>
  <c r="K18" i="1"/>
  <c r="K51" i="1" s="1"/>
  <c r="G3" i="1"/>
  <c r="G5" i="1" s="1"/>
  <c r="E37" i="1"/>
  <c r="E44" i="1"/>
  <c r="J27" i="1"/>
  <c r="G47" i="1" l="1"/>
  <c r="G51" i="1" s="1"/>
  <c r="B55" i="1" s="1"/>
  <c r="B56" i="1" s="1"/>
  <c r="B58" i="1" s="1"/>
  <c r="E47" i="1"/>
  <c r="E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 Batchworth Community Council</author>
  </authors>
  <commentList>
    <comment ref="I3" authorId="0" shapeId="0" xr:uid="{4543C7CF-7CB5-4784-A2BD-20E791BC8BFE}">
      <text>
        <r>
          <rPr>
            <b/>
            <sz val="9"/>
            <color indexed="81"/>
            <rFont val="Tahoma"/>
            <family val="2"/>
          </rPr>
          <t xml:space="preserve">represents a 4.4% increase in the Band D 
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 shapeId="0" xr:uid="{4439D492-456F-4842-96F3-B6F942664113}">
      <text>
        <r>
          <rPr>
            <b/>
            <sz val="9"/>
            <color indexed="81"/>
            <rFont val="Tahoma"/>
            <family val="2"/>
          </rPr>
          <t>Use of balances b/f to balance the budget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6D389F2C-7380-49C1-B61E-C838F1B457CC}">
      <text>
        <r>
          <rPr>
            <b/>
            <sz val="9"/>
            <color indexed="81"/>
            <rFont val="Tahoma"/>
            <family val="2"/>
          </rPr>
          <t xml:space="preserve">The community projects for Ricky and Moor Park &amp; Eastbury have been redistributed as below leaving an unallocated budget of £5k for all other projects. </t>
        </r>
      </text>
    </comment>
    <comment ref="I11" authorId="0" shapeId="0" xr:uid="{8A61386F-8F7D-474D-928D-D3238E106D22}">
      <text>
        <r>
          <rPr>
            <b/>
            <sz val="9"/>
            <color indexed="81"/>
            <rFont val="Tahoma"/>
            <family val="2"/>
          </rPr>
          <t xml:space="preserve">The community projects for Ricky and Moor Park &amp; Eastbury have been redistributed as below leaving an unallocated budget of £5k for all other projects.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33722360-39C2-40CA-A1BB-7C1672E8FA80}">
      <text>
        <r>
          <rPr>
            <b/>
            <sz val="9"/>
            <color indexed="81"/>
            <rFont val="Tahoma"/>
            <family val="2"/>
          </rPr>
          <t>Hi viz vests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55D7ACD9-BCED-4B8E-9ECC-72F7FACD2B70}">
      <text>
        <r>
          <rPr>
            <b/>
            <sz val="9"/>
            <color indexed="81"/>
            <rFont val="Tahoma"/>
            <family val="2"/>
          </rPr>
          <t>community notice board, cost + delivery+ install+ £3000 CCTV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26F2911B-D2A2-41B4-A4ED-BE99C4F31D93}">
      <text>
        <r>
          <rPr>
            <b/>
            <sz val="9"/>
            <color indexed="81"/>
            <rFont val="Tahoma"/>
            <family val="2"/>
          </rPr>
          <t xml:space="preserve">The community projects for Ricky and Moor Park &amp; Eastbury have been redistributed as below leaving an unallocated budget of £5k for all other projects.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 xr:uid="{CB58583E-FCE4-4984-B5F5-695255C723DF}">
      <text>
        <r>
          <rPr>
            <b/>
            <sz val="9"/>
            <color indexed="81"/>
            <rFont val="Tahoma"/>
            <family val="2"/>
          </rPr>
          <t>Pretty Corner/ Northway Triangle plus any other planting schemes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FD215FCE-C7CB-4292-8779-0D4DA36787AE}">
      <text>
        <r>
          <rPr>
            <b/>
            <sz val="9"/>
            <color indexed="81"/>
            <rFont val="Tahoma"/>
            <family val="2"/>
          </rPr>
          <t>Winter Fair £2,500
Eastbury Switch-on £1,387</t>
        </r>
      </text>
    </comment>
    <comment ref="I14" authorId="0" shapeId="0" xr:uid="{A8EFF13F-9AC7-4D06-B2B2-E6DCE9925523}">
      <text>
        <r>
          <rPr>
            <b/>
            <sz val="9"/>
            <color indexed="81"/>
            <rFont val="Tahoma"/>
            <family val="2"/>
          </rPr>
          <t xml:space="preserve">Community Jazz event planned for Eastbury Recreation Ground and Rickmansworth Waterways Festival , Rickmansworth Town Team Winter Fair, &amp; Eastbury Christmas Switch -on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AA47B88A-9001-4161-920A-689013ED8543}">
      <text>
        <r>
          <rPr>
            <b/>
            <sz val="9"/>
            <color indexed="81"/>
            <rFont val="Tahoma"/>
            <family val="2"/>
          </rPr>
          <t>Suggest 2 newsletters in 2019/20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 xr:uid="{74B54E0D-F4CB-4344-9D7F-8BDA2604F0D3}">
      <text>
        <r>
          <rPr>
            <b/>
            <sz val="9"/>
            <color indexed="81"/>
            <rFont val="Tahoma"/>
            <family val="2"/>
          </rPr>
          <t>Contribution agreed Council 10.12.18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 xr:uid="{2DC93DA7-C69E-40D7-A8F0-6D1A0C003BAA}">
      <text>
        <r>
          <rPr>
            <b/>
            <sz val="9"/>
            <color indexed="81"/>
            <rFont val="Tahoma"/>
            <family val="2"/>
          </rPr>
          <t>Extension of budget agreed at last council meeting to continue improvements to streetscape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E616F95E-1395-418A-B47C-BB3155103347}">
      <text>
        <r>
          <rPr>
            <b/>
            <sz val="9"/>
            <color indexed="81"/>
            <rFont val="Tahoma"/>
            <family val="2"/>
          </rPr>
          <t>Christmas Lighting schemes for Ricky, Mill End and Eastbury Inc. infrastructure £3,400 at Eastbury</t>
        </r>
      </text>
    </comment>
    <comment ref="I17" authorId="0" shapeId="0" xr:uid="{B354F48C-9E77-4D0D-92E0-7373FF80F0FA}">
      <text>
        <r>
          <rPr>
            <b/>
            <sz val="9"/>
            <color indexed="81"/>
            <rFont val="Tahoma"/>
            <family val="2"/>
          </rPr>
          <t>Rickmansworth &amp; Mill End 
£ 8895 + Eastbury Tree £1710 + Electricity £320
 + suggest increase lights around surrounding trees in Eastbury £500</t>
        </r>
      </text>
    </comment>
    <comment ref="G19" authorId="0" shapeId="0" xr:uid="{6FA552D4-8D77-45D3-A8F1-1933F0DB8972}">
      <text>
        <r>
          <rPr>
            <b/>
            <sz val="9"/>
            <color indexed="81"/>
            <rFont val="Tahoma"/>
            <family val="2"/>
          </rPr>
          <t>Work undertaken by Mike Peters in response to TRDC's potential sites for consultation document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520AE6C5-7C47-4B9A-9BB0-341D64890E87}">
      <text>
        <r>
          <rPr>
            <b/>
            <sz val="9"/>
            <color indexed="81"/>
            <rFont val="Tahoma"/>
            <family val="2"/>
          </rPr>
          <t>Appointment of Consultants, website development, public consultations, meetings etc.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AD4485AF-51B7-49D4-A0E0-29D6DAC01497}">
      <text>
        <r>
          <rPr>
            <b/>
            <sz val="9"/>
            <color indexed="81"/>
            <rFont val="Tahoma"/>
            <family val="2"/>
          </rPr>
          <t>inc. £35 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23C092B1-7D28-4F5D-8EB3-7A73E45C6474}">
      <text>
        <r>
          <rPr>
            <b/>
            <sz val="9"/>
            <color indexed="81"/>
            <rFont val="Tahoma"/>
            <family val="2"/>
          </rPr>
          <t>New rent from 1.1.19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1B1740C8-A325-46C8-87BD-B531FB27A127}">
      <text>
        <r>
          <rPr>
            <b/>
            <sz val="9"/>
            <color indexed="81"/>
            <rFont val="Tahoma"/>
            <family val="2"/>
          </rPr>
          <t>12* council meetings + Annual Parish Meeting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520DC3B5-7769-4D58-86E4-EE8E35C9EE65}">
      <text>
        <r>
          <rPr>
            <b/>
            <sz val="9"/>
            <color indexed="81"/>
            <rFont val="Tahoma"/>
            <family val="2"/>
          </rPr>
          <t>HAPTC £1671
SLCC £187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 xr:uid="{CCF603DF-34B4-445C-9532-75F2DD6E4D2A}">
      <text>
        <r>
          <rPr>
            <b/>
            <sz val="9"/>
            <color indexed="81"/>
            <rFont val="Tahoma"/>
            <family val="2"/>
          </rPr>
          <t>shredder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0" authorId="0" shapeId="0" xr:uid="{B63BB983-5808-457F-A19F-67BAD2A46709}">
      <text>
        <r>
          <rPr>
            <b/>
            <sz val="9"/>
            <color indexed="81"/>
            <rFont val="Tahoma"/>
            <family val="2"/>
          </rPr>
          <t>Assume MK employed to 31.3.19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0" authorId="0" shapeId="0" xr:uid="{7706B1C7-CA4B-44A8-A4BF-A1BF8175C2E8}">
      <text>
        <r>
          <rPr>
            <b/>
            <sz val="9"/>
            <color indexed="81"/>
            <rFont val="Tahoma"/>
            <family val="2"/>
          </rPr>
          <t>Salary £28,000 prorata plus 10% pension add 13.8% eers NI from 1.5.18</t>
        </r>
      </text>
    </comment>
    <comment ref="I41" authorId="0" shapeId="0" xr:uid="{AE223C93-F5E2-436A-A7E5-75B1F74B49B3}">
      <text>
        <r>
          <rPr>
            <b/>
            <sz val="9"/>
            <color indexed="81"/>
            <rFont val="Tahoma"/>
            <family val="2"/>
          </rPr>
          <t>One month's salary for MK plus allowance for support services from MK if required *£2000</t>
        </r>
      </text>
    </comment>
    <comment ref="F43" authorId="0" shapeId="0" xr:uid="{D0CC905C-FDC0-4B1E-8EFB-A3ED5301030C}">
      <text>
        <r>
          <rPr>
            <b/>
            <sz val="9"/>
            <color indexed="81"/>
            <rFont val="Tahoma"/>
            <family val="2"/>
          </rPr>
          <t>assumes agency fee of 10% of salary = £28,000*22.5/37*10%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5" authorId="0" shapeId="0" xr:uid="{A6D662D7-ECFA-412B-8564-3D2EA3047891}">
      <text>
        <r>
          <rPr>
            <b/>
            <sz val="9"/>
            <color indexed="81"/>
            <rFont val="Tahoma"/>
            <family val="2"/>
          </rPr>
          <t>Allowance for legal fees and contingencies</t>
        </r>
      </text>
    </comment>
    <comment ref="I49" authorId="0" shapeId="0" xr:uid="{DB3C631B-15D3-4C43-9508-6FF5BCBB639C}">
      <text>
        <r>
          <rPr>
            <b/>
            <sz val="9"/>
            <color indexed="81"/>
            <rFont val="Tahoma"/>
            <family val="2"/>
          </rPr>
          <t xml:space="preserve">no need to budget for reserve fund when you have balances!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<sst xmlns="http://schemas.openxmlformats.org/spreadsheetml/2006/main" count="58" uniqueCount="56">
  <si>
    <t>Income</t>
  </si>
  <si>
    <t>Original
Budget 2018/19</t>
  </si>
  <si>
    <t>Actual
to date</t>
  </si>
  <si>
    <t>Projected 
for the year 2018/19</t>
  </si>
  <si>
    <t>Precept</t>
  </si>
  <si>
    <t>use of balances</t>
  </si>
  <si>
    <t>TOTAL</t>
  </si>
  <si>
    <t>Expenditure</t>
  </si>
  <si>
    <t>Community Projects &amp; Engagement</t>
  </si>
  <si>
    <t>Grants to Community Associations</t>
  </si>
  <si>
    <t>Community Projects Rickmansworth</t>
  </si>
  <si>
    <t>Community Projects Moor Park &amp; Eastbury</t>
  </si>
  <si>
    <t>Community Projects Other</t>
  </si>
  <si>
    <t xml:space="preserve">Environmental planting schemes </t>
  </si>
  <si>
    <t>Community  Festivals</t>
  </si>
  <si>
    <t>Newsletters &amp; Publicity</t>
  </si>
  <si>
    <t xml:space="preserve">Highways Together </t>
  </si>
  <si>
    <t>Christmas Lighting Schemes</t>
  </si>
  <si>
    <t xml:space="preserve">Total for Community 
Projects &amp; Engagement </t>
  </si>
  <si>
    <t>Neighbourhood Plan</t>
  </si>
  <si>
    <t>Council Administration &amp; Finance</t>
  </si>
  <si>
    <t>Internal &amp; External Audit</t>
  </si>
  <si>
    <t>Bank Charges</t>
  </si>
  <si>
    <t>Insurance</t>
  </si>
  <si>
    <t>GDPR</t>
  </si>
  <si>
    <t>Office Rental Basing House</t>
  </si>
  <si>
    <t xml:space="preserve">Democratic Representation (Meetings) </t>
  </si>
  <si>
    <t xml:space="preserve">Total Office Rental </t>
  </si>
  <si>
    <t>Subscriptions &amp; Publications</t>
  </si>
  <si>
    <t xml:space="preserve">IT equip, </t>
  </si>
  <si>
    <t>IT support</t>
  </si>
  <si>
    <t>Telephone</t>
  </si>
  <si>
    <t>Website</t>
  </si>
  <si>
    <t>Domain Name</t>
  </si>
  <si>
    <t>Total IT &amp; Telephony Costs</t>
  </si>
  <si>
    <t>Councillor Training</t>
  </si>
  <si>
    <t>Officer Training</t>
  </si>
  <si>
    <t>Staff Cost</t>
  </si>
  <si>
    <t>Interim Clerk</t>
  </si>
  <si>
    <t>HR Support</t>
  </si>
  <si>
    <t>Recruitment</t>
  </si>
  <si>
    <t>Total staffing costs</t>
  </si>
  <si>
    <t>Contingencies including Legal fees</t>
  </si>
  <si>
    <t>Postages and Stationery</t>
  </si>
  <si>
    <t>Total for Central Administration
 &amp; Finance</t>
  </si>
  <si>
    <t>Election Costs</t>
  </si>
  <si>
    <t>Reserve Fund</t>
  </si>
  <si>
    <t>Recharges</t>
  </si>
  <si>
    <t>Total Expenditure</t>
  </si>
  <si>
    <t>BUDGET
2019/20</t>
  </si>
  <si>
    <t>Income and Expenditure Accounts for 2018/19 to 31/12/18 and Budget for 2019/20</t>
  </si>
  <si>
    <t>add estimated underspend for 2018/19</t>
  </si>
  <si>
    <t>less use of balances for 2019/20</t>
  </si>
  <si>
    <t xml:space="preserve">balance b/f </t>
  </si>
  <si>
    <t xml:space="preserve">Estimated Reserves c/f </t>
  </si>
  <si>
    <t>Total estimated reserves as at 1.4.19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</si>
</sst>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£&quot;#,##0;\-&quot;£&quot;#,##0"/>
    <numFmt numFmtId="7" formatCode="&quot;£&quot;#,##0.00;\-&quot;£&quot;#,##0.00"/>
    <numFmt numFmtId="164" formatCode="&quot;£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5" fontId="3" fillId="0" borderId="0" xfId="0" applyNumberFormat="1" applyFont="1"/>
    <xf numFmtId="5" fontId="3" fillId="2" borderId="0" xfId="0" applyNumberFormat="1" applyFont="1" applyFill="1"/>
    <xf numFmtId="164" fontId="1" fillId="0" borderId="0" xfId="0" applyNumberFormat="1" applyFont="1" applyAlignment="1">
      <alignment horizontal="center"/>
    </xf>
    <xf numFmtId="0" fontId="4" fillId="2" borderId="0" xfId="0" applyFont="1" applyFill="1"/>
    <xf numFmtId="5" fontId="4" fillId="0" borderId="0" xfId="0" applyNumberFormat="1" applyFont="1"/>
    <xf numFmtId="5" fontId="3" fillId="0" borderId="1" xfId="0" applyNumberFormat="1" applyFont="1" applyBorder="1"/>
    <xf numFmtId="5" fontId="3" fillId="2" borderId="1" xfId="0" applyNumberFormat="1" applyFont="1" applyFill="1" applyBorder="1"/>
    <xf numFmtId="0" fontId="0" fillId="0" borderId="1" xfId="0" applyBorder="1"/>
    <xf numFmtId="164" fontId="1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Fill="1" applyAlignment="1">
      <alignment horizontal="left"/>
    </xf>
    <xf numFmtId="5" fontId="4" fillId="0" borderId="0" xfId="0" applyNumberFormat="1" applyFont="1" applyFill="1"/>
    <xf numFmtId="5" fontId="4" fillId="2" borderId="0" xfId="0" applyNumberFormat="1" applyFont="1" applyFill="1"/>
    <xf numFmtId="164" fontId="4" fillId="0" borderId="0" xfId="0" applyNumberFormat="1" applyFont="1"/>
    <xf numFmtId="0" fontId="4" fillId="0" borderId="0" xfId="0" applyFont="1" applyFill="1"/>
    <xf numFmtId="0" fontId="3" fillId="0" borderId="0" xfId="0" applyFont="1" applyFill="1" applyAlignment="1">
      <alignment wrapText="1"/>
    </xf>
    <xf numFmtId="5" fontId="3" fillId="0" borderId="3" xfId="0" applyNumberFormat="1" applyFont="1" applyFill="1" applyBorder="1"/>
    <xf numFmtId="5" fontId="3" fillId="2" borderId="3" xfId="0" applyNumberFormat="1" applyFont="1" applyFill="1" applyBorder="1"/>
    <xf numFmtId="164" fontId="3" fillId="0" borderId="3" xfId="0" applyNumberFormat="1" applyFont="1" applyBorder="1"/>
    <xf numFmtId="164" fontId="1" fillId="0" borderId="0" xfId="0" applyNumberFormat="1" applyFont="1"/>
    <xf numFmtId="0" fontId="3" fillId="0" borderId="0" xfId="0" applyFont="1" applyFill="1"/>
    <xf numFmtId="5" fontId="3" fillId="0" borderId="0" xfId="0" applyNumberFormat="1" applyFont="1" applyFill="1"/>
    <xf numFmtId="164" fontId="3" fillId="0" borderId="0" xfId="0" applyNumberFormat="1" applyFont="1"/>
    <xf numFmtId="0" fontId="4" fillId="0" borderId="0" xfId="0" applyFont="1" applyFill="1" applyBorder="1"/>
    <xf numFmtId="164" fontId="4" fillId="0" borderId="1" xfId="0" applyNumberFormat="1" applyFont="1" applyBorder="1"/>
    <xf numFmtId="164" fontId="0" fillId="0" borderId="0" xfId="0" applyNumberFormat="1"/>
    <xf numFmtId="5" fontId="4" fillId="0" borderId="0" xfId="0" applyNumberFormat="1" applyFont="1" applyBorder="1"/>
    <xf numFmtId="5" fontId="4" fillId="2" borderId="0" xfId="0" applyNumberFormat="1" applyFont="1" applyFill="1" applyBorder="1"/>
    <xf numFmtId="5" fontId="0" fillId="0" borderId="0" xfId="0" applyNumberFormat="1"/>
    <xf numFmtId="0" fontId="4" fillId="0" borderId="4" xfId="0" applyFont="1" applyFill="1" applyBorder="1"/>
    <xf numFmtId="164" fontId="4" fillId="0" borderId="0" xfId="0" applyNumberFormat="1" applyFont="1" applyBorder="1"/>
    <xf numFmtId="0" fontId="3" fillId="0" borderId="0" xfId="0" applyFont="1" applyFill="1" applyBorder="1"/>
    <xf numFmtId="5" fontId="4" fillId="0" borderId="0" xfId="0" applyNumberFormat="1" applyFont="1" applyFill="1" applyBorder="1"/>
    <xf numFmtId="7" fontId="4" fillId="0" borderId="3" xfId="0" applyNumberFormat="1" applyFont="1" applyBorder="1"/>
    <xf numFmtId="164" fontId="4" fillId="0" borderId="3" xfId="0" applyNumberFormat="1" applyFont="1" applyBorder="1"/>
    <xf numFmtId="0" fontId="4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5" fontId="3" fillId="0" borderId="2" xfId="0" applyNumberFormat="1" applyFont="1" applyBorder="1"/>
    <xf numFmtId="5" fontId="3" fillId="2" borderId="2" xfId="0" applyNumberFormat="1" applyFont="1" applyFill="1" applyBorder="1"/>
    <xf numFmtId="164" fontId="3" fillId="0" borderId="2" xfId="0" applyNumberFormat="1" applyFont="1" applyBorder="1"/>
    <xf numFmtId="0" fontId="0" fillId="0" borderId="2" xfId="0" applyBorder="1"/>
    <xf numFmtId="164" fontId="1" fillId="0" borderId="2" xfId="0" applyNumberFormat="1" applyFont="1" applyBorder="1"/>
    <xf numFmtId="5" fontId="3" fillId="0" borderId="3" xfId="0" applyNumberFormat="1" applyFont="1" applyBorder="1"/>
    <xf numFmtId="5" fontId="0" fillId="0" borderId="0" xfId="0" applyNumberFormat="1" applyBorder="1"/>
    <xf numFmtId="5" fontId="4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ocuments/Working%20Parties%20&amp;%20Project%20Teams/Finance/Income%20File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ocuments/Working%20Parties%20&amp;%20Project%20Teams/Finance/Payments%20File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ocuments/Working%20Parties%20&amp;%20Project%20Teams/Finance/Income%20&amp;%20Expenditure%20report%20to%2031.12.18%20incorporating%20Draft%20Budget%20for%202019-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erkBatchworthCommu\Batchworth%20Community%20Council\Batchworth%20Community%20Council%20Team%20Site%20-%20Documents\Working%20Parties%20&amp;%20Project%20Teams\Finance\Income%20Fil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Budget sheet 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Jan"/>
      <sheetName val="Feb"/>
      <sheetName val="Mar"/>
      <sheetName val="Sheet1"/>
      <sheetName val="loose change appea"/>
    </sheetNames>
    <sheetDataSet>
      <sheetData sheetId="0">
        <row r="5">
          <cell r="O5">
            <v>108725</v>
          </cell>
          <cell r="P5">
            <v>108725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Totals"/>
      <sheetName val="April"/>
      <sheetName val="May"/>
      <sheetName val="June"/>
      <sheetName val="July"/>
      <sheetName val="August"/>
      <sheetName val="Sept"/>
      <sheetName val="Oct"/>
      <sheetName val="Nov"/>
      <sheetName val="Dec"/>
      <sheetName val="Jan"/>
      <sheetName val="Feb"/>
      <sheetName val="Mar"/>
      <sheetName val="Repairs and maintenance 2014 "/>
      <sheetName val="Sheet1"/>
      <sheetName val="Sheet2"/>
      <sheetName val="Sheet4"/>
    </sheetNames>
    <sheetDataSet>
      <sheetData sheetId="0" refreshError="1"/>
      <sheetData sheetId="1">
        <row r="5">
          <cell r="O5">
            <v>1835.7</v>
          </cell>
        </row>
        <row r="8">
          <cell r="O8">
            <v>99</v>
          </cell>
        </row>
        <row r="11">
          <cell r="O11">
            <v>800</v>
          </cell>
        </row>
        <row r="12">
          <cell r="O12">
            <v>69.449999999999989</v>
          </cell>
        </row>
        <row r="14">
          <cell r="O14">
            <v>6345</v>
          </cell>
        </row>
        <row r="15">
          <cell r="O15">
            <v>420</v>
          </cell>
        </row>
        <row r="17">
          <cell r="O17">
            <v>625.51</v>
          </cell>
        </row>
        <row r="18">
          <cell r="O18">
            <v>498.40000000000003</v>
          </cell>
        </row>
        <row r="19">
          <cell r="O19">
            <v>127.81</v>
          </cell>
        </row>
        <row r="20">
          <cell r="O20">
            <v>645</v>
          </cell>
        </row>
        <row r="21">
          <cell r="O21">
            <v>86.55</v>
          </cell>
        </row>
        <row r="22">
          <cell r="O22">
            <v>385</v>
          </cell>
        </row>
        <row r="23">
          <cell r="O23">
            <v>142.25</v>
          </cell>
        </row>
        <row r="24">
          <cell r="O24">
            <v>104.7</v>
          </cell>
        </row>
        <row r="25">
          <cell r="O25">
            <v>16742.36</v>
          </cell>
        </row>
        <row r="26">
          <cell r="O26">
            <v>9672.5499999999993</v>
          </cell>
        </row>
        <row r="27">
          <cell r="O27">
            <v>0</v>
          </cell>
        </row>
        <row r="28">
          <cell r="O28">
            <v>1014.59</v>
          </cell>
        </row>
        <row r="29">
          <cell r="O29">
            <v>0</v>
          </cell>
        </row>
        <row r="30">
          <cell r="O30">
            <v>266.48999999999995</v>
          </cell>
        </row>
        <row r="31">
          <cell r="O31">
            <v>0</v>
          </cell>
        </row>
        <row r="32">
          <cell r="O32">
            <v>0</v>
          </cell>
        </row>
        <row r="53">
          <cell r="O5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0">
          <cell r="E10">
            <v>4315.88</v>
          </cell>
        </row>
        <row r="11">
          <cell r="E11">
            <v>2577.85</v>
          </cell>
        </row>
      </sheetData>
      <sheetData sheetId="1">
        <row r="24">
          <cell r="I24">
            <v>60</v>
          </cell>
        </row>
        <row r="32">
          <cell r="I32">
            <v>169.25</v>
          </cell>
        </row>
        <row r="33">
          <cell r="H33">
            <v>18193.599999999999</v>
          </cell>
          <cell r="I33">
            <v>3866.69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Budget sheet 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Jan"/>
      <sheetName val="Feb"/>
      <sheetName val="Mar"/>
      <sheetName val="Sheet1"/>
      <sheetName val="loose change appea"/>
    </sheetNames>
    <sheetDataSet>
      <sheetData sheetId="0" refreshError="1"/>
      <sheetData sheetId="1" refreshError="1">
        <row r="12">
          <cell r="D12">
            <v>10379.880000000001</v>
          </cell>
        </row>
        <row r="13">
          <cell r="D13">
            <v>7582.7900000000009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5263-1EF2-4CD9-9D90-954C80A95D5C}">
  <dimension ref="A1:K59"/>
  <sheetViews>
    <sheetView tabSelected="1" topLeftCell="A6" workbookViewId="0">
      <selection activeCell="G21" sqref="G21"/>
    </sheetView>
  </sheetViews>
  <sheetFormatPr defaultRowHeight="14.4" x14ac:dyDescent="0.3"/>
  <cols>
    <col min="1" max="1" width="35.5546875" customWidth="1"/>
    <col min="2" max="2" width="10" bestFit="1" customWidth="1"/>
    <col min="3" max="3" width="1.88671875" customWidth="1"/>
    <col min="4" max="4" width="10.109375" customWidth="1"/>
    <col min="5" max="5" width="9" customWidth="1"/>
    <col min="6" max="6" width="9.6640625" customWidth="1"/>
    <col min="7" max="7" width="10.109375" customWidth="1"/>
  </cols>
  <sheetData>
    <row r="1" spans="1:9" ht="17.399999999999999" x14ac:dyDescent="0.3">
      <c r="A1" s="1" t="s">
        <v>50</v>
      </c>
      <c r="B1" s="1"/>
      <c r="C1" s="1"/>
      <c r="D1" s="1"/>
      <c r="E1" s="2"/>
      <c r="F1" s="3"/>
      <c r="H1" s="4"/>
      <c r="I1" s="5"/>
    </row>
    <row r="2" spans="1:9" ht="53.4" x14ac:dyDescent="0.3">
      <c r="A2" s="1" t="s">
        <v>0</v>
      </c>
      <c r="B2" s="6" t="s">
        <v>1</v>
      </c>
      <c r="C2" s="7"/>
      <c r="D2" s="6" t="s">
        <v>2</v>
      </c>
      <c r="E2" s="6" t="s">
        <v>2</v>
      </c>
      <c r="F2" s="6" t="s">
        <v>3</v>
      </c>
      <c r="G2" s="6" t="s">
        <v>3</v>
      </c>
      <c r="H2" s="8"/>
      <c r="I2" s="6" t="s">
        <v>49</v>
      </c>
    </row>
    <row r="3" spans="1:9" x14ac:dyDescent="0.3">
      <c r="A3" s="2" t="s">
        <v>4</v>
      </c>
      <c r="B3" s="9">
        <f>[1]Totals!P5</f>
        <v>108725</v>
      </c>
      <c r="C3" s="10"/>
      <c r="D3" s="9"/>
      <c r="E3" s="9">
        <f>[1]Totals!O5</f>
        <v>108725</v>
      </c>
      <c r="F3" s="2"/>
      <c r="G3" s="9">
        <f>E3</f>
        <v>108725</v>
      </c>
      <c r="H3" s="8"/>
      <c r="I3" s="11">
        <v>115350</v>
      </c>
    </row>
    <row r="4" spans="1:9" x14ac:dyDescent="0.3">
      <c r="A4" s="2" t="s">
        <v>5</v>
      </c>
      <c r="B4" s="3"/>
      <c r="C4" s="12"/>
      <c r="D4" s="3"/>
      <c r="E4" s="13"/>
      <c r="G4" s="13"/>
      <c r="H4" s="8"/>
      <c r="I4" s="11">
        <v>11200</v>
      </c>
    </row>
    <row r="5" spans="1:9" ht="15" thickBot="1" x14ac:dyDescent="0.35">
      <c r="A5" s="2" t="s">
        <v>6</v>
      </c>
      <c r="B5" s="14">
        <f>SUM(B3:B4)</f>
        <v>108725</v>
      </c>
      <c r="C5" s="15"/>
      <c r="D5" s="14"/>
      <c r="E5" s="14">
        <f>SUM(E3:E4)</f>
        <v>108725</v>
      </c>
      <c r="F5" s="16"/>
      <c r="G5" s="14">
        <f>SUM(G3:G4)</f>
        <v>108725</v>
      </c>
      <c r="H5" s="8"/>
      <c r="I5" s="17">
        <f>I3+I4</f>
        <v>126550</v>
      </c>
    </row>
    <row r="6" spans="1:9" x14ac:dyDescent="0.3">
      <c r="A6" s="3"/>
      <c r="B6" s="3"/>
      <c r="C6" s="12"/>
      <c r="D6" s="3"/>
      <c r="E6" s="13"/>
      <c r="G6" s="3"/>
      <c r="H6" s="8"/>
      <c r="I6" s="18"/>
    </row>
    <row r="7" spans="1:9" ht="17.399999999999999" x14ac:dyDescent="0.3">
      <c r="A7" s="1" t="s">
        <v>7</v>
      </c>
      <c r="B7" s="3"/>
      <c r="C7" s="12"/>
      <c r="D7" s="3"/>
      <c r="E7" s="13"/>
      <c r="G7" s="3"/>
      <c r="H7" s="8"/>
      <c r="I7" s="18"/>
    </row>
    <row r="8" spans="1:9" x14ac:dyDescent="0.3">
      <c r="A8" s="2" t="s">
        <v>8</v>
      </c>
      <c r="B8" s="3"/>
      <c r="C8" s="12"/>
      <c r="D8" s="3"/>
      <c r="E8" s="13"/>
      <c r="G8" s="3"/>
      <c r="H8" s="8"/>
      <c r="I8" s="18"/>
    </row>
    <row r="9" spans="1:9" x14ac:dyDescent="0.3">
      <c r="A9" s="19" t="s">
        <v>9</v>
      </c>
      <c r="B9" s="20">
        <v>5000</v>
      </c>
      <c r="C9" s="21"/>
      <c r="D9" s="20"/>
      <c r="E9" s="13">
        <f>[2]Totals!$O$5</f>
        <v>1835.7</v>
      </c>
      <c r="G9" s="22">
        <v>2500</v>
      </c>
      <c r="H9" s="8"/>
      <c r="I9" s="18">
        <v>2500</v>
      </c>
    </row>
    <row r="10" spans="1:9" x14ac:dyDescent="0.3">
      <c r="A10" s="19" t="s">
        <v>10</v>
      </c>
      <c r="B10" s="20">
        <v>12000</v>
      </c>
      <c r="C10" s="21"/>
      <c r="D10" s="20"/>
      <c r="E10" s="13">
        <v>4315</v>
      </c>
      <c r="G10" s="22">
        <v>4315</v>
      </c>
      <c r="H10" s="8"/>
      <c r="I10" s="18">
        <v>5000</v>
      </c>
    </row>
    <row r="11" spans="1:9" x14ac:dyDescent="0.3">
      <c r="A11" s="19" t="s">
        <v>11</v>
      </c>
      <c r="B11" s="20">
        <v>12000</v>
      </c>
      <c r="C11" s="21"/>
      <c r="D11" s="20"/>
      <c r="E11" s="13">
        <v>2580</v>
      </c>
      <c r="G11" s="22">
        <v>2580</v>
      </c>
      <c r="H11" s="8"/>
      <c r="I11" s="18">
        <v>5000</v>
      </c>
    </row>
    <row r="12" spans="1:9" x14ac:dyDescent="0.3">
      <c r="A12" s="19" t="s">
        <v>12</v>
      </c>
      <c r="B12" s="20">
        <v>10000</v>
      </c>
      <c r="C12" s="21"/>
      <c r="D12" s="20"/>
      <c r="E12" s="13">
        <f>[2]Totals!$O$8</f>
        <v>99</v>
      </c>
      <c r="G12" s="22">
        <f>E12+2862+185+280+3000-1</f>
        <v>6425</v>
      </c>
      <c r="H12" s="8"/>
      <c r="I12" s="18">
        <v>5000</v>
      </c>
    </row>
    <row r="13" spans="1:9" x14ac:dyDescent="0.3">
      <c r="A13" s="19" t="s">
        <v>13</v>
      </c>
      <c r="B13" s="20"/>
      <c r="C13" s="21"/>
      <c r="D13" s="20"/>
      <c r="E13" s="13"/>
      <c r="G13" s="22"/>
      <c r="H13" s="8"/>
      <c r="I13" s="18">
        <v>2500</v>
      </c>
    </row>
    <row r="14" spans="1:9" x14ac:dyDescent="0.3">
      <c r="A14" s="19" t="s">
        <v>14</v>
      </c>
      <c r="B14" s="20"/>
      <c r="C14" s="21"/>
      <c r="D14" s="20"/>
      <c r="E14" s="13">
        <f>G14-[3]Sheet2!I32-[3]Sheet2!I24</f>
        <v>3640.44</v>
      </c>
      <c r="G14" s="22">
        <f>[3]Sheet2!I33+3</f>
        <v>3869.69</v>
      </c>
      <c r="H14" s="8"/>
      <c r="I14" s="18">
        <v>14000</v>
      </c>
    </row>
    <row r="15" spans="1:9" x14ac:dyDescent="0.3">
      <c r="A15" s="23" t="s">
        <v>15</v>
      </c>
      <c r="B15" s="20">
        <v>1000</v>
      </c>
      <c r="C15" s="21"/>
      <c r="D15" s="20"/>
      <c r="E15" s="13">
        <v>970</v>
      </c>
      <c r="G15" s="22">
        <v>970</v>
      </c>
      <c r="H15" s="8"/>
      <c r="I15" s="18">
        <v>2000</v>
      </c>
    </row>
    <row r="16" spans="1:9" x14ac:dyDescent="0.3">
      <c r="A16" s="23" t="s">
        <v>16</v>
      </c>
      <c r="B16" s="20"/>
      <c r="C16" s="21"/>
      <c r="D16" s="20"/>
      <c r="E16" s="13"/>
      <c r="G16" s="22">
        <v>4800</v>
      </c>
      <c r="H16" s="8"/>
      <c r="I16" s="18">
        <v>5000</v>
      </c>
    </row>
    <row r="17" spans="1:11" x14ac:dyDescent="0.3">
      <c r="A17" s="23" t="s">
        <v>17</v>
      </c>
      <c r="B17" s="20"/>
      <c r="C17" s="21"/>
      <c r="D17" s="20"/>
      <c r="E17" s="13">
        <f>'[4]Budget sheet '!$D$12+'[4]Budget sheet '!$D$13-[3]Sheet1!E10-[3]Sheet1!E11-3640.44</f>
        <v>7428.5</v>
      </c>
      <c r="G17" s="22">
        <f>[3]Sheet2!H33+1</f>
        <v>18194.599999999999</v>
      </c>
      <c r="H17" s="8"/>
      <c r="I17" s="18">
        <f>8895+1710+320+500</f>
        <v>11425</v>
      </c>
    </row>
    <row r="18" spans="1:11" ht="30.6" customHeight="1" x14ac:dyDescent="0.3">
      <c r="A18" s="24" t="s">
        <v>18</v>
      </c>
      <c r="B18" s="25">
        <f>SUM(B9:B15)</f>
        <v>40000</v>
      </c>
      <c r="C18" s="26"/>
      <c r="D18" s="25"/>
      <c r="E18" s="51">
        <f>SUM(E9:E17)</f>
        <v>20868.64</v>
      </c>
      <c r="G18" s="27">
        <f>SUM(G9:G17)+1</f>
        <v>43655.289999999994</v>
      </c>
      <c r="H18" s="8"/>
      <c r="I18" s="18"/>
      <c r="K18" s="28">
        <f>SUM(I9:I17)</f>
        <v>52425</v>
      </c>
    </row>
    <row r="19" spans="1:11" x14ac:dyDescent="0.3">
      <c r="A19" s="29" t="s">
        <v>19</v>
      </c>
      <c r="B19" s="30">
        <v>1610</v>
      </c>
      <c r="C19" s="10"/>
      <c r="D19" s="30"/>
      <c r="E19" s="9">
        <v>1430</v>
      </c>
      <c r="G19" s="31">
        <v>1430</v>
      </c>
      <c r="H19" s="8"/>
      <c r="I19" s="18">
        <v>18000</v>
      </c>
      <c r="K19" s="28">
        <v>18000</v>
      </c>
    </row>
    <row r="20" spans="1:11" x14ac:dyDescent="0.3">
      <c r="A20" s="29" t="s">
        <v>20</v>
      </c>
      <c r="B20" s="30"/>
      <c r="C20" s="10"/>
      <c r="D20" s="30"/>
      <c r="E20" s="13"/>
      <c r="G20" s="22"/>
      <c r="H20" s="8"/>
      <c r="I20" s="18"/>
    </row>
    <row r="21" spans="1:11" x14ac:dyDescent="0.3">
      <c r="A21" s="23" t="s">
        <v>21</v>
      </c>
      <c r="B21" s="20">
        <v>600</v>
      </c>
      <c r="C21" s="21"/>
      <c r="D21" s="20"/>
      <c r="E21" s="13">
        <f>[2]Totals!$O$11</f>
        <v>800</v>
      </c>
      <c r="G21" s="22">
        <v>800</v>
      </c>
      <c r="H21" s="8"/>
      <c r="I21" s="18">
        <v>800</v>
      </c>
    </row>
    <row r="22" spans="1:11" x14ac:dyDescent="0.3">
      <c r="A22" s="23" t="s">
        <v>22</v>
      </c>
      <c r="B22" s="20">
        <v>100</v>
      </c>
      <c r="C22" s="21"/>
      <c r="D22" s="20"/>
      <c r="E22" s="13">
        <f>[2]Totals!$O$12</f>
        <v>69.449999999999989</v>
      </c>
      <c r="G22" s="22">
        <f>E22/3*4-3</f>
        <v>89.59999999999998</v>
      </c>
      <c r="H22" s="8"/>
      <c r="I22" s="18">
        <v>100</v>
      </c>
    </row>
    <row r="23" spans="1:11" x14ac:dyDescent="0.3">
      <c r="A23" s="23" t="s">
        <v>23</v>
      </c>
      <c r="B23" s="20">
        <v>150</v>
      </c>
      <c r="C23" s="21"/>
      <c r="D23" s="20"/>
      <c r="E23" s="13">
        <v>310</v>
      </c>
      <c r="G23" s="22">
        <v>310</v>
      </c>
      <c r="H23" s="8"/>
      <c r="I23" s="18">
        <v>350</v>
      </c>
    </row>
    <row r="24" spans="1:11" x14ac:dyDescent="0.3">
      <c r="A24" s="32" t="s">
        <v>24</v>
      </c>
      <c r="B24" s="20">
        <v>0</v>
      </c>
      <c r="C24" s="21"/>
      <c r="E24" s="52">
        <f>[2]Totals!$O$22</f>
        <v>385</v>
      </c>
      <c r="G24" s="22">
        <v>385</v>
      </c>
      <c r="H24" s="8"/>
      <c r="I24" s="18">
        <v>385</v>
      </c>
    </row>
    <row r="25" spans="1:11" x14ac:dyDescent="0.3">
      <c r="A25" s="23" t="s">
        <v>25</v>
      </c>
      <c r="C25" s="8"/>
      <c r="D25" s="35">
        <f>[2]Totals!$O$14</f>
        <v>6345</v>
      </c>
      <c r="E25" s="37"/>
      <c r="F25" s="22">
        <f>(705*9)+755+708+708-1</f>
        <v>8515</v>
      </c>
      <c r="G25" s="3"/>
      <c r="H25" s="8"/>
      <c r="I25" s="18">
        <f>12*708+120-1</f>
        <v>8615</v>
      </c>
    </row>
    <row r="26" spans="1:11" ht="15" thickBot="1" x14ac:dyDescent="0.35">
      <c r="A26" s="23" t="s">
        <v>26</v>
      </c>
      <c r="B26" s="20"/>
      <c r="C26" s="21"/>
      <c r="D26" s="53">
        <f>[2]Totals!$O$15</f>
        <v>420</v>
      </c>
      <c r="E26" s="37"/>
      <c r="F26" s="33">
        <f>D26+(5*60)</f>
        <v>720</v>
      </c>
      <c r="G26" s="3"/>
      <c r="H26" s="8"/>
      <c r="I26" s="18">
        <f>13*4*15</f>
        <v>780</v>
      </c>
    </row>
    <row r="27" spans="1:11" x14ac:dyDescent="0.3">
      <c r="A27" s="29" t="s">
        <v>27</v>
      </c>
      <c r="B27" s="20">
        <v>8500</v>
      </c>
      <c r="C27" s="21"/>
      <c r="D27" s="20"/>
      <c r="E27" s="13">
        <f>D25+D26</f>
        <v>6765</v>
      </c>
      <c r="F27" s="22"/>
      <c r="G27" s="22">
        <f>F25+F26</f>
        <v>9235</v>
      </c>
      <c r="H27" s="8"/>
      <c r="I27" s="18"/>
      <c r="J27" s="34">
        <f>I25+I26</f>
        <v>9395</v>
      </c>
    </row>
    <row r="28" spans="1:11" x14ac:dyDescent="0.3">
      <c r="A28" s="29"/>
      <c r="B28" s="20"/>
      <c r="C28" s="21"/>
      <c r="D28" s="20"/>
      <c r="E28" s="13"/>
      <c r="F28" s="22"/>
      <c r="G28" s="22"/>
      <c r="H28" s="8"/>
      <c r="I28" s="18"/>
      <c r="J28" s="34"/>
    </row>
    <row r="29" spans="1:11" x14ac:dyDescent="0.3">
      <c r="A29" s="29"/>
      <c r="B29" s="20"/>
      <c r="C29" s="21"/>
      <c r="D29" s="20"/>
      <c r="E29" s="13"/>
      <c r="F29" s="22"/>
      <c r="G29" s="22"/>
      <c r="H29" s="8"/>
      <c r="I29" s="18"/>
      <c r="J29" s="34"/>
    </row>
    <row r="30" spans="1:11" x14ac:dyDescent="0.3">
      <c r="A30" s="29"/>
      <c r="B30" s="20"/>
      <c r="C30" s="21"/>
      <c r="D30" s="20"/>
      <c r="E30" s="13"/>
      <c r="F30" s="22"/>
      <c r="G30" s="22"/>
      <c r="H30" s="8"/>
      <c r="I30" s="18"/>
      <c r="J30" s="34"/>
    </row>
    <row r="31" spans="1:11" x14ac:dyDescent="0.3">
      <c r="A31" s="23" t="s">
        <v>28</v>
      </c>
      <c r="B31" s="20">
        <v>2000</v>
      </c>
      <c r="C31" s="21"/>
      <c r="D31" s="20"/>
      <c r="E31" s="13">
        <v>1760</v>
      </c>
      <c r="F31" s="22"/>
      <c r="G31" s="22">
        <v>1760</v>
      </c>
      <c r="H31" s="8"/>
      <c r="I31" s="18">
        <f>1671+189</f>
        <v>1860</v>
      </c>
    </row>
    <row r="32" spans="1:11" x14ac:dyDescent="0.3">
      <c r="A32" s="32" t="s">
        <v>29</v>
      </c>
      <c r="B32" s="35"/>
      <c r="C32" s="36"/>
      <c r="D32" s="35">
        <f>[2]Totals!$O$17</f>
        <v>625.51</v>
      </c>
      <c r="E32" s="13"/>
      <c r="F32" s="37">
        <f>D32+200-0.55</f>
        <v>824.96</v>
      </c>
      <c r="G32" s="3"/>
      <c r="H32" s="8"/>
      <c r="I32" s="18">
        <v>0</v>
      </c>
    </row>
    <row r="33" spans="1:11" x14ac:dyDescent="0.3">
      <c r="A33" s="38" t="s">
        <v>30</v>
      </c>
      <c r="B33" s="35"/>
      <c r="C33" s="36"/>
      <c r="D33" s="35">
        <f>[2]Totals!$O$18</f>
        <v>498.40000000000003</v>
      </c>
      <c r="E33" s="13"/>
      <c r="F33" s="39">
        <f>62.3*12+2</f>
        <v>749.59999999999991</v>
      </c>
      <c r="G33" s="3"/>
      <c r="H33" s="8"/>
      <c r="I33" s="18">
        <v>750</v>
      </c>
    </row>
    <row r="34" spans="1:11" x14ac:dyDescent="0.3">
      <c r="A34" s="38" t="s">
        <v>31</v>
      </c>
      <c r="B34" s="35"/>
      <c r="C34" s="36"/>
      <c r="D34" s="35">
        <f>[2]Totals!$O$19</f>
        <v>127.81</v>
      </c>
      <c r="E34" s="13"/>
      <c r="F34" s="22">
        <f>D34+(3*25)-2.81</f>
        <v>200</v>
      </c>
      <c r="G34" s="3"/>
      <c r="H34" s="8"/>
      <c r="I34" s="18">
        <v>240</v>
      </c>
    </row>
    <row r="35" spans="1:11" x14ac:dyDescent="0.3">
      <c r="A35" s="38" t="s">
        <v>32</v>
      </c>
      <c r="B35" s="35"/>
      <c r="C35" s="36"/>
      <c r="D35" s="35">
        <f>[2]Totals!$O$20</f>
        <v>645</v>
      </c>
      <c r="E35" s="13"/>
      <c r="F35" s="22">
        <f>D35+(60*3)</f>
        <v>825</v>
      </c>
      <c r="G35" s="3"/>
      <c r="H35" s="8"/>
      <c r="I35" s="18">
        <f>60*12+250</f>
        <v>970</v>
      </c>
    </row>
    <row r="36" spans="1:11" x14ac:dyDescent="0.3">
      <c r="A36" s="32" t="s">
        <v>33</v>
      </c>
      <c r="B36" s="3"/>
      <c r="C36" s="12"/>
      <c r="D36" s="35">
        <f>[2]Totals!$O$21</f>
        <v>86.55</v>
      </c>
      <c r="E36" s="13"/>
      <c r="F36" s="39">
        <f>D36-2</f>
        <v>84.55</v>
      </c>
      <c r="G36" s="3"/>
      <c r="H36" s="8"/>
      <c r="I36" s="18">
        <v>0</v>
      </c>
    </row>
    <row r="37" spans="1:11" x14ac:dyDescent="0.3">
      <c r="A37" s="40" t="s">
        <v>34</v>
      </c>
      <c r="B37" s="41">
        <v>2000</v>
      </c>
      <c r="C37" s="36"/>
      <c r="D37" s="42"/>
      <c r="E37" s="35">
        <f>D32+D33+D34+D35+D36</f>
        <v>1983.27</v>
      </c>
      <c r="F37" s="43"/>
      <c r="G37" s="13">
        <f>F32+F33+F34+F35+F36+1</f>
        <v>2685.11</v>
      </c>
      <c r="H37" s="8"/>
      <c r="I37" s="18"/>
      <c r="J37" s="34">
        <f>I31+I32+I33+I34+I35+I36</f>
        <v>3820</v>
      </c>
    </row>
    <row r="38" spans="1:11" x14ac:dyDescent="0.3">
      <c r="A38" s="23" t="s">
        <v>35</v>
      </c>
      <c r="B38" s="20">
        <v>1000</v>
      </c>
      <c r="C38" s="21"/>
      <c r="D38" s="20"/>
      <c r="E38" s="13">
        <f>[2]Totals!$O$23</f>
        <v>142.25</v>
      </c>
      <c r="F38" s="22"/>
      <c r="G38" s="3">
        <v>145</v>
      </c>
      <c r="H38" s="8"/>
      <c r="I38" s="18">
        <v>1000</v>
      </c>
    </row>
    <row r="39" spans="1:11" x14ac:dyDescent="0.3">
      <c r="A39" s="32" t="s">
        <v>36</v>
      </c>
      <c r="B39" s="41">
        <v>1500</v>
      </c>
      <c r="C39" s="36"/>
      <c r="D39" s="41"/>
      <c r="E39" s="35">
        <f>[2]Totals!$O$24</f>
        <v>104.7</v>
      </c>
      <c r="F39" s="22"/>
      <c r="G39" s="3">
        <v>105</v>
      </c>
      <c r="H39" s="8"/>
      <c r="I39" s="18">
        <v>1000</v>
      </c>
    </row>
    <row r="40" spans="1:11" x14ac:dyDescent="0.3">
      <c r="A40" s="32" t="s">
        <v>37</v>
      </c>
      <c r="B40" s="35"/>
      <c r="C40" s="36"/>
      <c r="D40" s="35">
        <f>[2]Totals!$O$25</f>
        <v>16742.36</v>
      </c>
      <c r="E40" s="13"/>
      <c r="F40" s="22">
        <f>D40+(3*2677)+ (3*36.4*3)-1</f>
        <v>25099.96</v>
      </c>
      <c r="G40" s="3"/>
      <c r="H40" s="8"/>
      <c r="I40" s="18">
        <f>(30800*1.138*22.5/37)*11/12+2+1190</f>
        <v>20730.229729729726</v>
      </c>
    </row>
    <row r="41" spans="1:11" x14ac:dyDescent="0.3">
      <c r="A41" s="32" t="s">
        <v>38</v>
      </c>
      <c r="B41" s="35"/>
      <c r="C41" s="36"/>
      <c r="D41" s="35">
        <f>[2]Totals!$O$26</f>
        <v>9672.5499999999993</v>
      </c>
      <c r="E41" s="13"/>
      <c r="F41" s="22">
        <v>9675</v>
      </c>
      <c r="G41" s="3"/>
      <c r="H41" s="8"/>
      <c r="I41" s="18">
        <f>2800+2000</f>
        <v>4800</v>
      </c>
    </row>
    <row r="42" spans="1:11" x14ac:dyDescent="0.3">
      <c r="A42" s="32" t="s">
        <v>39</v>
      </c>
      <c r="B42" s="35"/>
      <c r="C42" s="36"/>
      <c r="D42" s="35">
        <f>[2]Totals!$O$27</f>
        <v>0</v>
      </c>
      <c r="E42" s="13"/>
      <c r="F42" s="22">
        <v>0</v>
      </c>
      <c r="G42" s="3"/>
      <c r="H42" s="8"/>
      <c r="I42" s="18">
        <v>0</v>
      </c>
    </row>
    <row r="43" spans="1:11" ht="15" thickBot="1" x14ac:dyDescent="0.35">
      <c r="A43" s="44" t="s">
        <v>40</v>
      </c>
      <c r="B43" s="3"/>
      <c r="C43" s="12"/>
      <c r="D43" s="53">
        <f>[2]Totals!$O$28</f>
        <v>1014.59</v>
      </c>
      <c r="E43" s="13"/>
      <c r="F43" s="33">
        <f>D43+1700</f>
        <v>2714.59</v>
      </c>
      <c r="H43" s="8"/>
      <c r="I43" s="18">
        <v>0</v>
      </c>
    </row>
    <row r="44" spans="1:11" x14ac:dyDescent="0.3">
      <c r="A44" s="45" t="s">
        <v>41</v>
      </c>
      <c r="B44" s="35">
        <v>40500</v>
      </c>
      <c r="C44" s="36"/>
      <c r="D44" s="35"/>
      <c r="E44" s="13">
        <f>D40+D41+D42+D43</f>
        <v>27429.5</v>
      </c>
      <c r="F44" s="22"/>
      <c r="G44" s="22">
        <f>F40+F41+F42+F43</f>
        <v>37489.550000000003</v>
      </c>
      <c r="H44" s="8"/>
      <c r="I44" s="18"/>
      <c r="J44" s="34">
        <f>I40+I41+I42+I43</f>
        <v>25530.229729729726</v>
      </c>
    </row>
    <row r="45" spans="1:11" x14ac:dyDescent="0.3">
      <c r="A45" s="32" t="s">
        <v>42</v>
      </c>
      <c r="B45" s="35">
        <v>2000</v>
      </c>
      <c r="C45" s="36"/>
      <c r="D45" s="35"/>
      <c r="E45" s="35">
        <f>[2]Totals!$O$29</f>
        <v>0</v>
      </c>
      <c r="G45" s="22">
        <v>0</v>
      </c>
      <c r="H45" s="8"/>
      <c r="I45" s="18">
        <v>2000</v>
      </c>
    </row>
    <row r="46" spans="1:11" x14ac:dyDescent="0.3">
      <c r="A46" s="23" t="s">
        <v>43</v>
      </c>
      <c r="B46" s="13"/>
      <c r="C46" s="21"/>
      <c r="D46" s="13"/>
      <c r="E46" s="13">
        <f>[2]Totals!$O$30</f>
        <v>266.48999999999995</v>
      </c>
      <c r="F46" s="22"/>
      <c r="G46" s="22">
        <f>E46+199</f>
        <v>465.48999999999995</v>
      </c>
      <c r="H46" s="8"/>
      <c r="I46" s="18">
        <v>545</v>
      </c>
    </row>
    <row r="47" spans="1:11" ht="27.6" customHeight="1" x14ac:dyDescent="0.3">
      <c r="A47" s="24" t="s">
        <v>44</v>
      </c>
      <c r="B47" s="9">
        <f>SUM(B21:B46)</f>
        <v>58350</v>
      </c>
      <c r="C47" s="10"/>
      <c r="D47" s="9"/>
      <c r="E47" s="9">
        <f>SUM(E21:E46)</f>
        <v>40015.659999999996</v>
      </c>
      <c r="F47" s="31"/>
      <c r="G47" s="31">
        <f>SUM(G21:G46)</f>
        <v>53469.75</v>
      </c>
      <c r="H47" s="8"/>
      <c r="I47" s="18"/>
      <c r="K47" s="28">
        <f>SUM(I21:I46)</f>
        <v>44925.229729729726</v>
      </c>
    </row>
    <row r="48" spans="1:11" x14ac:dyDescent="0.3">
      <c r="A48" s="29" t="s">
        <v>45</v>
      </c>
      <c r="B48" s="9">
        <v>5600</v>
      </c>
      <c r="C48" s="10"/>
      <c r="D48" s="9"/>
      <c r="E48" s="13">
        <f>[2]Totals!$O$31</f>
        <v>0</v>
      </c>
      <c r="G48" s="31">
        <v>0</v>
      </c>
      <c r="H48" s="8"/>
      <c r="I48" s="18">
        <v>11200</v>
      </c>
      <c r="K48" s="28">
        <v>11200</v>
      </c>
    </row>
    <row r="49" spans="1:11" x14ac:dyDescent="0.3">
      <c r="A49" s="29" t="s">
        <v>46</v>
      </c>
      <c r="B49" s="9">
        <v>3165</v>
      </c>
      <c r="C49" s="10"/>
      <c r="D49" s="9"/>
      <c r="E49" s="13">
        <f>[2]Totals!$O$32</f>
        <v>0</v>
      </c>
      <c r="G49" s="31">
        <v>0</v>
      </c>
      <c r="H49" s="8"/>
      <c r="I49" s="18">
        <v>0</v>
      </c>
    </row>
    <row r="50" spans="1:11" x14ac:dyDescent="0.3">
      <c r="A50" s="2" t="s">
        <v>47</v>
      </c>
      <c r="B50" s="13"/>
      <c r="C50" s="21"/>
      <c r="D50" s="13"/>
      <c r="E50" s="13">
        <f>[2]Totals!$O$53</f>
        <v>30</v>
      </c>
      <c r="F50" s="22"/>
      <c r="G50" s="31">
        <v>30</v>
      </c>
      <c r="H50" s="8"/>
      <c r="I50" s="18">
        <v>0</v>
      </c>
    </row>
    <row r="51" spans="1:11" ht="15" thickBot="1" x14ac:dyDescent="0.35">
      <c r="A51" s="2" t="s">
        <v>48</v>
      </c>
      <c r="B51" s="46">
        <f>B18+B19+B47+B48+B49</f>
        <v>108725</v>
      </c>
      <c r="C51" s="47"/>
      <c r="D51" s="46"/>
      <c r="E51" s="46">
        <f>E18+E19+E47+E48+E49+E50</f>
        <v>62344.299999999996</v>
      </c>
      <c r="F51" s="48"/>
      <c r="G51" s="48">
        <f>G18+G19+G47+G48+G49+G50</f>
        <v>98585.04</v>
      </c>
      <c r="H51" s="8"/>
      <c r="I51" s="17">
        <f>SUM(I9:I50)</f>
        <v>126550.22972972973</v>
      </c>
      <c r="J51" s="49"/>
      <c r="K51" s="50">
        <f>SUM(K18:K50)</f>
        <v>126550.22972972973</v>
      </c>
    </row>
    <row r="52" spans="1:11" ht="15" thickTop="1" x14ac:dyDescent="0.3"/>
    <row r="54" spans="1:11" x14ac:dyDescent="0.3">
      <c r="A54" t="s">
        <v>53</v>
      </c>
      <c r="B54" s="28">
        <v>59395</v>
      </c>
    </row>
    <row r="55" spans="1:11" ht="15" thickBot="1" x14ac:dyDescent="0.35">
      <c r="A55" t="s">
        <v>51</v>
      </c>
      <c r="B55" s="54">
        <f>B51-G51</f>
        <v>10139.960000000006</v>
      </c>
      <c r="E55" s="37"/>
    </row>
    <row r="56" spans="1:11" x14ac:dyDescent="0.3">
      <c r="A56" t="s">
        <v>55</v>
      </c>
      <c r="B56" s="28">
        <f>B54+B55</f>
        <v>69534.960000000006</v>
      </c>
    </row>
    <row r="57" spans="1:11" x14ac:dyDescent="0.3">
      <c r="A57" t="s">
        <v>52</v>
      </c>
      <c r="B57" s="28">
        <v>11200</v>
      </c>
    </row>
    <row r="58" spans="1:11" ht="15" thickBot="1" x14ac:dyDescent="0.35">
      <c r="A58" t="s">
        <v>54</v>
      </c>
      <c r="B58" s="50">
        <f>B56-B57</f>
        <v>58334.960000000006</v>
      </c>
    </row>
    <row r="59" spans="1:11" ht="15" thickTop="1" x14ac:dyDescent="0.3"/>
  </sheetData>
  <printOptions gridLines="1"/>
  <pageMargins left="0.7" right="0.7" top="0.75" bottom="0.7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C01945BA47F0419FE27EB69D6829E3" ma:contentTypeVersion="8" ma:contentTypeDescription="Create a new document." ma:contentTypeScope="" ma:versionID="e8f48e19d93a4dc85bac276be4699543">
  <xsd:schema xmlns:xsd="http://www.w3.org/2001/XMLSchema" xmlns:xs="http://www.w3.org/2001/XMLSchema" xmlns:p="http://schemas.microsoft.com/office/2006/metadata/properties" xmlns:ns2="6b136974-408e-40f7-83aa-7bdaadb1fb3c" targetNamespace="http://schemas.microsoft.com/office/2006/metadata/properties" ma:root="true" ma:fieldsID="001f3c028fd512a0e9155676d3e9f874" ns2:_="">
    <xsd:import namespace="6b136974-408e-40f7-83aa-7bdaadb1fb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36974-408e-40f7-83aa-7bdaadb1f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1CD3C7-89BC-4077-BC3C-2D30B736F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36974-408e-40f7-83aa-7bdaadb1fb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F8DFD-4101-4861-A0EE-A3F0E5FD5EA2}">
  <ds:schemaRefs>
    <ds:schemaRef ds:uri="http://purl.org/dc/terms/"/>
    <ds:schemaRef ds:uri="http://schemas.openxmlformats.org/package/2006/metadata/core-properties"/>
    <ds:schemaRef ds:uri="6b136974-408e-40f7-83aa-7bdaadb1fb3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438DFF-A32A-48EF-B94A-C8A73A1FE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Batchworth Community Council</dc:creator>
  <cp:lastModifiedBy>Clerk Batchworth Community Council</cp:lastModifiedBy>
  <cp:lastPrinted>2019-01-09T11:46:01Z</cp:lastPrinted>
  <dcterms:created xsi:type="dcterms:W3CDTF">2019-01-09T11:33:44Z</dcterms:created>
  <dcterms:modified xsi:type="dcterms:W3CDTF">2019-01-09T15:29:31Z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0x010100D5C01945BA47F0419FE27EB69D6829E3</vt:lpwstr>
  </property>
</Properties>
</file>